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g-Two\Documents\Mes documents\FEXCEL\Meteo\_Doc\Évapotranspiration\"/>
    </mc:Choice>
  </mc:AlternateContent>
  <xr:revisionPtr revIDLastSave="0" documentId="13_ncr:1_{923C088F-B249-4DC9-B17C-E48511013729}" xr6:coauthVersionLast="47" xr6:coauthVersionMax="47" xr10:uidLastSave="{00000000-0000-0000-0000-000000000000}"/>
  <bookViews>
    <workbookView xWindow="-120" yWindow="-120" windowWidth="19440" windowHeight="9705" xr2:uid="{8348B883-B89E-4FAC-987C-39D83901F93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V11" i="1"/>
  <c r="W11" i="1" s="1"/>
  <c r="N13" i="1"/>
  <c r="O13" i="1"/>
  <c r="P13" i="1"/>
  <c r="AE13" i="1" s="1"/>
  <c r="Q13" i="1"/>
  <c r="R13" i="1"/>
  <c r="S13" i="1"/>
  <c r="T13" i="1"/>
  <c r="U13" i="1"/>
  <c r="V13" i="1"/>
  <c r="W13" i="1"/>
  <c r="X13" i="1"/>
  <c r="Y13" i="1"/>
  <c r="Z13" i="1" s="1"/>
  <c r="AA13" i="1" s="1"/>
  <c r="AB13" i="1" s="1"/>
  <c r="AD13" i="1" s="1"/>
  <c r="AF13" i="1" s="1"/>
  <c r="N12" i="1"/>
  <c r="O12" i="1" s="1"/>
  <c r="P12" i="1"/>
  <c r="R12" i="1"/>
  <c r="S12" i="1"/>
  <c r="T12" i="1"/>
  <c r="U12" i="1"/>
  <c r="Y12" i="1" s="1"/>
  <c r="Z12" i="1" s="1"/>
  <c r="AA12" i="1" s="1"/>
  <c r="AB12" i="1" s="1"/>
  <c r="V12" i="1"/>
  <c r="W12" i="1"/>
  <c r="X12" i="1"/>
  <c r="AE11" i="1"/>
  <c r="X11" i="1"/>
  <c r="U11" i="1"/>
  <c r="T11" i="1"/>
  <c r="S11" i="1"/>
  <c r="R11" i="1"/>
  <c r="Q11" i="1"/>
  <c r="P11" i="1"/>
  <c r="O11" i="1"/>
  <c r="N11" i="1"/>
  <c r="E6" i="1"/>
  <c r="Y11" i="1" l="1"/>
  <c r="Z11" i="1" s="1"/>
  <c r="AA11" i="1" s="1"/>
  <c r="AB11" i="1" s="1"/>
  <c r="AD11" i="1" s="1"/>
  <c r="AF11" i="1" s="1"/>
  <c r="Q12" i="1"/>
  <c r="AD12" i="1" s="1"/>
  <c r="AE12" i="1" l="1"/>
  <c r="AF12" i="1" s="1"/>
</calcChain>
</file>

<file path=xl/sharedStrings.xml><?xml version="1.0" encoding="utf-8"?>
<sst xmlns="http://schemas.openxmlformats.org/spreadsheetml/2006/main" count="69" uniqueCount="49">
  <si>
    <t xml:space="preserve">Calcul ETo </t>
  </si>
  <si>
    <t xml:space="preserve"> </t>
  </si>
  <si>
    <t>Penman-Monteith</t>
  </si>
  <si>
    <t>Altitude</t>
  </si>
  <si>
    <t xml:space="preserve"> Latitude</t>
  </si>
  <si>
    <t>x</t>
  </si>
  <si>
    <t>P</t>
  </si>
  <si>
    <t>(m)</t>
  </si>
  <si>
    <t>(°)</t>
  </si>
  <si>
    <t>(mb)</t>
  </si>
  <si>
    <t>Année</t>
  </si>
  <si>
    <t>Mois</t>
  </si>
  <si>
    <t>Jour</t>
  </si>
  <si>
    <t>J</t>
  </si>
  <si>
    <t>HRmoy</t>
  </si>
  <si>
    <t>HRmax</t>
  </si>
  <si>
    <t>HRmin</t>
  </si>
  <si>
    <t>Tmoy</t>
  </si>
  <si>
    <t>Tmax</t>
  </si>
  <si>
    <t>Tmin</t>
  </si>
  <si>
    <t>Rs</t>
  </si>
  <si>
    <t>Ux</t>
  </si>
  <si>
    <t>(%)</t>
  </si>
  <si>
    <t>(°C)</t>
  </si>
  <si>
    <t>(W/m²)</t>
  </si>
  <si>
    <t>(m/s)</t>
  </si>
  <si>
    <t>λ</t>
  </si>
  <si>
    <t>γ</t>
  </si>
  <si>
    <t>U2</t>
  </si>
  <si>
    <t>ea</t>
  </si>
  <si>
    <t>ed</t>
  </si>
  <si>
    <t>∆</t>
  </si>
  <si>
    <t>dr</t>
  </si>
  <si>
    <t>δ</t>
  </si>
  <si>
    <t>ωs</t>
  </si>
  <si>
    <t>Ra</t>
  </si>
  <si>
    <t>Rso</t>
  </si>
  <si>
    <t>Rn</t>
  </si>
  <si>
    <t>(W/m²/mm)</t>
  </si>
  <si>
    <t>(mb/°C)</t>
  </si>
  <si>
    <t>(radians)</t>
  </si>
  <si>
    <t>(mm/jour)</t>
  </si>
  <si>
    <t>()</t>
  </si>
  <si>
    <t>γ'</t>
  </si>
  <si>
    <t>ETrad</t>
  </si>
  <si>
    <t>ETaéro</t>
  </si>
  <si>
    <t>ETo</t>
  </si>
  <si>
    <t>Day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</si>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</sst>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00000"/>
    <numFmt numFmtId="167" formatCode="0.00000"/>
    <numFmt numFmtId="168" formatCode="0.0000"/>
  </numFmts>
  <fonts count="3" x14ac:knownFonts="1">
    <font>
      <sz val="12"/>
      <color theme="1"/>
      <name val="Times New Roman"/>
      <family val="2"/>
    </font>
    <font>
      <b/>
      <sz val="10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67FA3-27F3-4337-9B95-167277A1C6E8}">
  <dimension ref="A1:AF13"/>
  <sheetViews>
    <sheetView tabSelected="1" workbookViewId="0">
      <selection activeCell="C16" sqref="C16"/>
    </sheetView>
  </sheetViews>
  <sheetFormatPr baseColWidth="10" defaultRowHeight="15.75" x14ac:dyDescent="0.25"/>
  <cols>
    <col min="13" max="13" width="4.875" customWidth="1"/>
    <col min="14" max="28" width="11.75" customWidth="1"/>
    <col min="29" max="29" width="4.25" customWidth="1"/>
  </cols>
  <sheetData>
    <row r="1" spans="1:32" x14ac:dyDescent="0.25">
      <c r="A1" t="s">
        <v>0</v>
      </c>
      <c r="B1" t="s">
        <v>2</v>
      </c>
    </row>
    <row r="2" spans="1:32" x14ac:dyDescent="0.25">
      <c r="B2" t="s">
        <v>1</v>
      </c>
    </row>
    <row r="4" spans="1:32" x14ac:dyDescent="0.25">
      <c r="A4" t="s">
        <v>3</v>
      </c>
      <c r="B4" t="s">
        <v>4</v>
      </c>
      <c r="C4" t="s">
        <v>5</v>
      </c>
      <c r="E4" t="s">
        <v>6</v>
      </c>
      <c r="G4" s="7" t="s">
        <v>48</v>
      </c>
      <c r="H4" s="7" t="s">
        <v>47</v>
      </c>
    </row>
    <row r="5" spans="1:32" ht="16.5" thickBot="1" x14ac:dyDescent="0.3">
      <c r="A5" t="s">
        <v>7</v>
      </c>
      <c r="B5" t="s">
        <v>8</v>
      </c>
      <c r="C5" t="s">
        <v>7</v>
      </c>
      <c r="E5" t="s">
        <v>9</v>
      </c>
      <c r="G5" s="8">
        <v>35026</v>
      </c>
      <c r="H5" s="6">
        <f>G5-DATE(YEAR(G5),1,1)+1</f>
        <v>327</v>
      </c>
    </row>
    <row r="6" spans="1:32" x14ac:dyDescent="0.25">
      <c r="A6" s="2">
        <v>532</v>
      </c>
      <c r="B6" s="2">
        <v>33.51</v>
      </c>
      <c r="C6" s="2">
        <v>2</v>
      </c>
      <c r="E6" s="1">
        <f>1013*((293-0.0065*$A$6)/293)^5.256</f>
        <v>951.72010627110717</v>
      </c>
    </row>
    <row r="9" spans="1:32" x14ac:dyDescent="0.25">
      <c r="A9" t="s">
        <v>10</v>
      </c>
      <c r="B9" t="s">
        <v>11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20</v>
      </c>
      <c r="L9" t="s">
        <v>21</v>
      </c>
      <c r="N9" t="s">
        <v>26</v>
      </c>
      <c r="O9" t="s">
        <v>27</v>
      </c>
      <c r="P9" t="s">
        <v>28</v>
      </c>
      <c r="Q9" t="s">
        <v>43</v>
      </c>
      <c r="R9" t="s">
        <v>29</v>
      </c>
      <c r="S9" t="s">
        <v>30</v>
      </c>
      <c r="T9" t="s">
        <v>31</v>
      </c>
      <c r="U9" t="s">
        <v>32</v>
      </c>
      <c r="V9" t="s">
        <v>33</v>
      </c>
      <c r="W9" t="s">
        <v>34</v>
      </c>
      <c r="X9" t="s">
        <v>20</v>
      </c>
      <c r="Y9" t="s">
        <v>35</v>
      </c>
      <c r="Z9" t="s">
        <v>35</v>
      </c>
      <c r="AA9" t="s">
        <v>36</v>
      </c>
      <c r="AB9" t="s">
        <v>37</v>
      </c>
      <c r="AD9" t="s">
        <v>44</v>
      </c>
      <c r="AE9" t="s">
        <v>45</v>
      </c>
      <c r="AF9" t="s">
        <v>46</v>
      </c>
    </row>
    <row r="10" spans="1:32" x14ac:dyDescent="0.25">
      <c r="E10" t="s">
        <v>22</v>
      </c>
      <c r="F10" t="s">
        <v>22</v>
      </c>
      <c r="G10" t="s">
        <v>22</v>
      </c>
      <c r="H10" t="s">
        <v>23</v>
      </c>
      <c r="I10" t="s">
        <v>23</v>
      </c>
      <c r="J10" t="s">
        <v>23</v>
      </c>
      <c r="K10" t="s">
        <v>24</v>
      </c>
      <c r="L10" t="s">
        <v>25</v>
      </c>
      <c r="N10" t="s">
        <v>38</v>
      </c>
      <c r="O10" t="s">
        <v>39</v>
      </c>
      <c r="P10" t="s">
        <v>25</v>
      </c>
      <c r="Q10" t="s">
        <v>39</v>
      </c>
      <c r="R10" t="s">
        <v>9</v>
      </c>
      <c r="S10" t="s">
        <v>9</v>
      </c>
      <c r="T10" t="s">
        <v>39</v>
      </c>
      <c r="U10" t="s">
        <v>42</v>
      </c>
      <c r="V10" t="s">
        <v>40</v>
      </c>
      <c r="W10" t="s">
        <v>40</v>
      </c>
      <c r="X10" t="s">
        <v>41</v>
      </c>
      <c r="Y10" t="s">
        <v>24</v>
      </c>
      <c r="Z10" t="s">
        <v>41</v>
      </c>
      <c r="AA10" t="s">
        <v>41</v>
      </c>
      <c r="AB10" t="s">
        <v>41</v>
      </c>
      <c r="AD10" t="s">
        <v>41</v>
      </c>
      <c r="AE10" t="s">
        <v>41</v>
      </c>
      <c r="AF10" t="s">
        <v>41</v>
      </c>
    </row>
    <row r="11" spans="1:32" s="2" customFormat="1" x14ac:dyDescent="0.25">
      <c r="A11" s="2">
        <v>1995</v>
      </c>
      <c r="B11" s="2">
        <v>11</v>
      </c>
      <c r="C11" s="2">
        <v>23</v>
      </c>
      <c r="D11" s="2">
        <v>327</v>
      </c>
      <c r="E11" s="2">
        <v>74.2</v>
      </c>
      <c r="F11" s="2">
        <v>76.2</v>
      </c>
      <c r="G11" s="2">
        <v>72.2</v>
      </c>
      <c r="H11" s="2">
        <v>27.1</v>
      </c>
      <c r="I11" s="2">
        <v>32.1</v>
      </c>
      <c r="J11" s="2">
        <v>22.1</v>
      </c>
      <c r="K11" s="2">
        <v>3081.3</v>
      </c>
      <c r="L11" s="2">
        <v>2.7</v>
      </c>
      <c r="N11" s="3">
        <f>694.5*(1-0.000946*H11)</f>
        <v>676.69538130000001</v>
      </c>
      <c r="O11" s="4">
        <f>0.2805555*$E$6/(0.622*N11)</f>
        <v>0.63437262618937895</v>
      </c>
      <c r="P11" s="4">
        <f>4.868*L11/LN(67.75*$C$6-5.42)</f>
        <v>2.6999170026215196</v>
      </c>
      <c r="Q11" s="4">
        <f>O11*(1+0.34*P11)</f>
        <v>1.2167087956011446</v>
      </c>
      <c r="R11" s="5">
        <f>IF(ISBLANK(H11)=TRUE,6.108*EXP((17.27*(I11+J11)/2)/((I11+J11)/2+237.3)),6.108*EXP((17.27*H11)/(H11+237.3)))</f>
        <v>35.863105663510559</v>
      </c>
      <c r="S11" s="5">
        <f>IF(OR(ISBLANK(F11)=TRUE,ISBLANK(I11)=TRUE),R11*E11/100,(6.108*EXP((17.27*J11)/(J11+237.3))*F11+6.108*EXP((17.27*I11)/(I11+237.3))*G11)/200)</f>
        <v>27.396914081460395</v>
      </c>
      <c r="T11" s="4">
        <f>4098.171*R11/(R11+237.3)^2</f>
        <v>1.9696718955820294</v>
      </c>
      <c r="U11" s="4">
        <f>1+0.033*COS(2*PI()*D11/365)</f>
        <v>1.0261878630954209</v>
      </c>
      <c r="V11" s="4">
        <f>0.4093*SIN(2*PI()*(284+D11)/365)</f>
        <v>-0.36348186215225142</v>
      </c>
      <c r="W11" s="4">
        <f>ACOS(-TAN(RADIANS($B$6))*TAN(V11))</f>
        <v>1.3161887368240783</v>
      </c>
      <c r="X11" s="1">
        <f>K11/N11</f>
        <v>4.553452092550879</v>
      </c>
      <c r="Y11" s="5">
        <f>(24/PI())*1367*U11*(W11*SIN(RADIANS($B$6))*SIN(V11)+COS(RADIANS($B$6))*COS(V11)*SIN(W11))</f>
        <v>5313.7754620325541</v>
      </c>
      <c r="Z11" s="4">
        <f>Y11/N11</f>
        <v>7.8525369152428022</v>
      </c>
      <c r="AA11" s="1">
        <f>(0.75+2*(10^-5)*$A$6)*Z11</f>
        <v>5.9729536792102849</v>
      </c>
      <c r="AB11" s="4">
        <f>IF(OR(ISBLANK(F11)=TRUE,ISBLANK(I11)=TRUE),0.77*X11-(1.35*(X11/AA11)-0.35)*(0.34-0.14*SQRT(S11))*(1360.8*(10^-9)/N11) *(H11+273.16)^4,0.77*X11-(1.35*(X11/AA11)-0.35)*(0.34-0.14*SQRT(S11))*(1360.8*(10^-9)/N11)*((I11+273.16)^4+(J11+273.16)^4)/2)</f>
        <v>7.8738104151742352</v>
      </c>
      <c r="AD11" s="3">
        <f>(T11*AB11)/(T11+Q11)</f>
        <v>4.8672222778725756</v>
      </c>
      <c r="AE11" s="3">
        <f>IF(ISBLANK(H11)=TRUE,(O11*(90/((I11+J11)/2+273.16))*P11*(R11-S11))/(T11+Q11),(O11*(90/(H11+273.16))*P11*(R11-S11))/(T11+Q11))</f>
        <v>1.3640500560143891</v>
      </c>
      <c r="AF11" s="3">
        <f>AD11+AE11</f>
        <v>6.2312723338869649</v>
      </c>
    </row>
    <row r="12" spans="1:32" s="2" customFormat="1" x14ac:dyDescent="0.25">
      <c r="A12" s="2">
        <v>1995</v>
      </c>
      <c r="B12" s="2">
        <v>11</v>
      </c>
      <c r="C12" s="2">
        <v>24</v>
      </c>
      <c r="D12" s="2">
        <v>328</v>
      </c>
      <c r="E12" s="2">
        <v>51.74</v>
      </c>
      <c r="F12" s="2">
        <v>56.74</v>
      </c>
      <c r="G12" s="2">
        <v>46.74</v>
      </c>
      <c r="H12" s="2">
        <v>10.837</v>
      </c>
      <c r="I12" s="2">
        <v>17.837</v>
      </c>
      <c r="J12" s="2">
        <v>3.8370000000000002</v>
      </c>
      <c r="K12" s="2">
        <v>3137.1</v>
      </c>
      <c r="L12" s="2">
        <v>1.4664999999999999</v>
      </c>
      <c r="N12" s="3">
        <f>694.5*(1-0.000946*H12)</f>
        <v>687.38012351099997</v>
      </c>
      <c r="O12" s="4">
        <f>0.2805555*$E$6/(0.622*N12)</f>
        <v>0.62451184065789267</v>
      </c>
      <c r="P12" s="4">
        <f>4.868*L12/LN(67.75*$C$6-5.42)</f>
        <v>1.4664549201275772</v>
      </c>
      <c r="Q12" s="4">
        <f>O12*(1+0.34*P12)</f>
        <v>0.93589011753752949</v>
      </c>
      <c r="R12" s="5">
        <f>IF(ISBLANK(H12)=TRUE,6.108*EXP((17.27*(I12+J12)/2)/((I12+J12)/2+237.3)),6.108*EXP((17.27*H12)/(H12+237.3)))</f>
        <v>12.985585674360282</v>
      </c>
      <c r="S12" s="5">
        <f>IF(OR(ISBLANK(F12)=TRUE,ISBLANK(I12)=TRUE),R12*E12/100,(6.108*EXP((17.27*J12)/(J12+237.3))*F12+6.108*EXP((17.27*I12)/(I12+237.3))*G12)/200)</f>
        <v>7.0552134998039513</v>
      </c>
      <c r="T12" s="4">
        <f>4098.171*R12/(R12+237.3)^2</f>
        <v>0.84953238722668079</v>
      </c>
      <c r="U12" s="4">
        <f>1+0.033*COS(2*PI()*D12/365)</f>
        <v>1.026529622740483</v>
      </c>
      <c r="V12" s="4">
        <f>0.4093*SIN(2*PI()*(284+D12)/365)</f>
        <v>-0.3666670216977983</v>
      </c>
      <c r="W12" s="4">
        <f>ACOS(-TAN(RADIANS($B$6))*TAN(V12))</f>
        <v>1.3136903010515202</v>
      </c>
      <c r="X12" s="1">
        <f>K12/N12</f>
        <v>4.5638503248774809</v>
      </c>
      <c r="Y12" s="5">
        <f>(24/PI())*1367*U12*(W12*SIN(RADIANS($B$6))*SIN(V12)+COS(RADIANS($B$6))*COS(V12)*SIN(W12))</f>
        <v>5282.557230008948</v>
      </c>
      <c r="Z12" s="4">
        <f>Y12/N12</f>
        <v>7.6850596188710023</v>
      </c>
      <c r="AA12" s="1">
        <f>(0.75+2*(10^-5)*$A$6)*Z12</f>
        <v>5.8455637484980389</v>
      </c>
      <c r="AB12" s="4">
        <f>IF(OR(ISBLANK(F12)=TRUE,ISBLANK(I12)=TRUE),0.77*X12-(1.35*(X12/AA12)-0.35)*(0.34-0.14*SQRT(S12))*(1360.8*(10^-9)/N12) *(H12+273.16)^4,0.77*X12-(1.35*(X12/AA12)-0.35)*(0.34-0.14*SQRT(S12))*(1360.8*(10^-9)/N12)*((I12+273.16)^4+(J12+273.16)^4)/2)</f>
        <v>3.8040932966088996</v>
      </c>
      <c r="AD12" s="3">
        <f>(T12*AB12)/(T12+Q12)</f>
        <v>1.8100480143370674</v>
      </c>
      <c r="AE12" s="3">
        <f>IF(ISBLANK(H12)=TRUE,(O12*(90/((I12+J12)/2+273.16))*P12*(R12-S12))/(T12+Q12),(O12*(90/(H12+273.16))*P12*(R12-S12))/(T12+Q12))</f>
        <v>0.96400457667072792</v>
      </c>
      <c r="AF12" s="3">
        <f>AD12+AE12</f>
        <v>2.7740525910077953</v>
      </c>
    </row>
    <row r="13" spans="1:32" s="2" customFormat="1" x14ac:dyDescent="0.25">
      <c r="A13" s="2">
        <v>1995</v>
      </c>
      <c r="B13" s="2">
        <v>11</v>
      </c>
      <c r="C13" s="2">
        <v>25</v>
      </c>
      <c r="D13" s="2">
        <v>329</v>
      </c>
      <c r="E13" s="2">
        <v>73.238</v>
      </c>
      <c r="F13" s="2">
        <v>78.238</v>
      </c>
      <c r="G13" s="2">
        <v>68.238</v>
      </c>
      <c r="H13" s="2">
        <v>9.5341000000000005</v>
      </c>
      <c r="I13" s="2">
        <v>16.533999999999999</v>
      </c>
      <c r="J13" s="2">
        <v>2.5341</v>
      </c>
      <c r="K13" s="2">
        <v>922.85</v>
      </c>
      <c r="L13" s="2">
        <v>2.4049</v>
      </c>
      <c r="N13" s="3">
        <f>694.5*(1-0.000946*H13)</f>
        <v>688.23612490230005</v>
      </c>
      <c r="O13" s="4">
        <f>0.2805555*$E$6/(0.622*N13)</f>
        <v>0.62373509705908436</v>
      </c>
      <c r="P13" s="4">
        <f>4.868*L13/LN(67.75*$C$6-5.42)</f>
        <v>2.4048260739275897</v>
      </c>
      <c r="Q13" s="4">
        <f>O13*(1+0.34*P13)</f>
        <v>1.1337264014337747</v>
      </c>
      <c r="R13" s="5">
        <f>IF(ISBLANK(H13)=TRUE,6.108*EXP((17.27*(I13+J13)/2)/((I13+J13)/2+237.3)),6.108*EXP((17.27*H13)/(H13+237.3)))</f>
        <v>11.901476106240905</v>
      </c>
      <c r="S13" s="5">
        <f>IF(OR(ISBLANK(F13)=TRUE,ISBLANK(I13)=TRUE),R13*E13/100,(6.108*EXP((17.27*J13)/(J13+237.3))*F13+6.108*EXP((17.27*I13)/(I13+237.3))*G13)/200)</f>
        <v>9.2863121088660598</v>
      </c>
      <c r="T13" s="4">
        <f>4098.171*R13/(R13+237.3)^2</f>
        <v>0.78539780626585098</v>
      </c>
      <c r="U13" s="4">
        <f>1+0.033*COS(2*PI()*D13/365)</f>
        <v>1.0268635210857713</v>
      </c>
      <c r="V13" s="4">
        <f>0.4093*SIN(2*PI()*(284+D13)/365)</f>
        <v>-0.36974352989149334</v>
      </c>
      <c r="W13" s="4">
        <f>ACOS(-TAN(RADIANS($B$6))*TAN(V13))</f>
        <v>1.311269717280475</v>
      </c>
      <c r="X13" s="1">
        <f>K13/N13</f>
        <v>1.3408915437721394</v>
      </c>
      <c r="Y13" s="5">
        <f>(24/PI())*1367*U13*(W13*SIN(RADIANS($B$6))*SIN(V13)+COS(RADIANS($B$6))*COS(V13)*SIN(W13))</f>
        <v>5252.3995579776774</v>
      </c>
      <c r="Z13" s="4">
        <f>Y13/N13</f>
        <v>7.6316824530582323</v>
      </c>
      <c r="AA13" s="1">
        <f>(0.75+2*(10^-5)*$A$6)*Z13</f>
        <v>5.8049629410942138</v>
      </c>
      <c r="AB13" s="4">
        <f>IF(OR(ISBLANK(F13)=TRUE,ISBLANK(I13)=TRUE),0.77*X13-(1.35*(X13/AA13)-0.35)*(0.34-0.14*SQRT(S13))*(1360.8*(10^-9)/N13) *(H13+273.16)^4,0.77*X13-(1.35*(X13/AA13)-0.35)*(0.34-0.14*SQRT(S13))*(1360.8*(10^-9)/N13)*((I13+273.16)^4+(J13+273.16)^4)/2)</f>
        <v>0.9905860921624341</v>
      </c>
      <c r="AD13" s="3">
        <f>(T13*AB13)/(T13+Q13)</f>
        <v>0.40539540931245877</v>
      </c>
      <c r="AE13" s="3">
        <f>IF(ISBLANK(H13)=TRUE,(O13*(90/((I13+J13)/2+273.16))*P13*(R13-S13))/(T13+Q13),(O13*(90/(H13+273.16))*P13*(R13-S13))/(T13+Q13))</f>
        <v>0.65073694501412893</v>
      </c>
      <c r="AF13" s="3">
        <f>AD13+AE13</f>
        <v>1.0561323543265877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2023-02-20T15:56:04Z</dcterms:created>
  <dcterms:modified xsi:type="dcterms:W3CDTF">2023-02-20T17:28:05Z</dcterms:modified>
</cp:coreProperties>
</file>